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赞皇2022\2026\"/>
    </mc:Choice>
  </mc:AlternateContent>
  <bookViews>
    <workbookView windowWidth="18350" windowHeight="6880" tabRatio="667" firstSheet="2"/>
  </bookViews>
  <sheets>
    <sheet name="合计" sheetId="12" r:id="rId1"/>
    <sheet name="孤山" sheetId="10" r:id="rId2"/>
    <sheet name="郭万井" sheetId="8" r:id="rId3"/>
    <sheet name="北壕村" sheetId="4" r:id="rId4"/>
    <sheet name="嘉应寺" sheetId="3" r:id="rId5"/>
    <sheet name="永丰村" sheetId="2" r:id="rId6"/>
    <sheet name="九龙关" sheetId="1" r:id="rId7"/>
    <sheet name="回车村" sheetId="13" r:id="rId8"/>
    <sheet name="冯家村" sheetId="15" r:id="rId9"/>
    <sheet name="武家村" sheetId="16" r:id="rId10"/>
    <sheet name="赵堡村" sheetId="17" r:id="rId11"/>
  </sheets>
  <definedNames>
    <definedName name="_xlnm._FilterDatabase" localSheetId="7" hidden="1">回车村!$A$2:$J$6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<sst xmlns="http://schemas.openxmlformats.org/spreadsheetml/2006/main" count="230" uniqueCount="65">
  <si>
    <t>南清河乡总计</t>
  </si>
  <si>
    <t>序号</t>
  </si>
  <si>
    <t>村名</t>
  </si>
  <si>
    <t>户数</t>
  </si>
  <si>
    <t>已拆除房屋面积（㎡）</t>
  </si>
  <si>
    <t>拆除房屋清运垃圾量（m³）</t>
  </si>
  <si>
    <t>残垣断壁或围墙方量（m³）</t>
  </si>
  <si>
    <t>残垣断壁或围墙清运垃圾量（m³）</t>
  </si>
  <si>
    <t>建筑垃圾总方量（m³）</t>
  </si>
  <si>
    <t>单价（元/m³）</t>
  </si>
  <si>
    <t>总价（元）</t>
  </si>
  <si>
    <t>孤山</t>
  </si>
  <si>
    <t>郭万井</t>
  </si>
  <si>
    <t>北壕村</t>
  </si>
  <si>
    <t>嘉应寺</t>
  </si>
  <si>
    <t>永丰村</t>
  </si>
  <si>
    <t>九龙关</t>
  </si>
  <si>
    <t>回车村</t>
  </si>
  <si>
    <t>冯家村</t>
  </si>
  <si>
    <t>武家村</t>
  </si>
  <si>
    <t>合计：</t>
  </si>
  <si>
    <t>行政村</t>
  </si>
  <si>
    <t>姓名</t>
  </si>
  <si>
    <t>谷建武</t>
  </si>
  <si>
    <t>郭二波</t>
  </si>
  <si>
    <t>李爱录</t>
  </si>
  <si>
    <t>于永全</t>
  </si>
  <si>
    <t>于瑞强</t>
  </si>
  <si>
    <t>白国文</t>
  </si>
  <si>
    <t>李书志</t>
  </si>
  <si>
    <t>李进芳</t>
  </si>
  <si>
    <t>杨耀东</t>
  </si>
  <si>
    <t>赵松</t>
  </si>
  <si>
    <t>郭建瑞</t>
  </si>
  <si>
    <t>李增辰</t>
  </si>
  <si>
    <t>李习志</t>
  </si>
  <si>
    <t>李新国</t>
  </si>
  <si>
    <t>李祥芹</t>
  </si>
  <si>
    <t>嘉应寺村</t>
  </si>
  <si>
    <t>王敏杰</t>
  </si>
  <si>
    <t>王晓辉</t>
  </si>
  <si>
    <t>王向涛</t>
  </si>
  <si>
    <t>周喜朝</t>
  </si>
  <si>
    <t>周英进</t>
  </si>
  <si>
    <t>周建瑞</t>
  </si>
  <si>
    <t xml:space="preserve">行政村 </t>
  </si>
  <si>
    <t>九龙关村</t>
  </si>
  <si>
    <t>郝换娥</t>
  </si>
  <si>
    <t>范聚敏</t>
  </si>
  <si>
    <t>王素堂</t>
  </si>
  <si>
    <t>刘增林</t>
  </si>
  <si>
    <t>冯军民</t>
  </si>
  <si>
    <t>冯考英</t>
  </si>
  <si>
    <t>王俊艳</t>
  </si>
  <si>
    <t>王焕季</t>
  </si>
  <si>
    <t>赵堡村</t>
  </si>
  <si>
    <t>贾增春</t>
  </si>
  <si>
    <t>王胜稳</t>
  </si>
  <si>
    <t>魏增文</t>
  </si>
  <si>
    <t>魏向军</t>
  </si>
  <si>
    <t>王建朝</t>
  </si>
  <si>
    <t>闫现军</t>
  </si>
  <si>
    <t>闫满道</t>
  </si>
  <si>
    <t>魏艳丽</t>
  </si>
  <si>
    <t>闫双锤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</si>
</sst>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 "/>
  </numFmts>
  <fonts count="27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2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6" fillId="0" borderId="0"/>
  </cellStyleXfs>
  <cellXfs count="45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right" vertical="center" wrapText="1"/>
    </xf>
    <xf numFmtId="0" fontId="2" fillId="0" borderId="3" xfId="0" applyNumberFormat="1" applyFont="1" applyFill="1" applyBorder="1" applyAlignment="1">
      <alignment horizontal="righ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right" vertical="center" wrapText="1"/>
    </xf>
    <xf numFmtId="0" fontId="2" fillId="2" borderId="3" xfId="0" applyNumberFormat="1" applyFont="1" applyFill="1" applyBorder="1" applyAlignment="1">
      <alignment horizontal="right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Alignment="1">
      <alignment vertical="center" wrapText="1"/>
    </xf>
    <xf numFmtId="177" fontId="4" fillId="2" borderId="0" xfId="0" applyNumberFormat="1" applyFont="1" applyFill="1" applyAlignment="1">
      <alignment vertical="center" wrapText="1"/>
    </xf>
    <xf numFmtId="177" fontId="4" fillId="2" borderId="0" xfId="0" applyNumberFormat="1" applyFont="1" applyFill="1" applyAlignment="1">
      <alignment horizontal="center" vertical="center" wrapText="1"/>
    </xf>
    <xf numFmtId="177" fontId="2" fillId="2" borderId="2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177" fontId="6" fillId="2" borderId="1" xfId="0" applyNumberFormat="1" applyFont="1" applyFill="1" applyBorder="1" applyAlignment="1">
      <alignment horizontal="center" vertical="center" wrapText="1"/>
    </xf>
    <xf numFmtId="177" fontId="4" fillId="2" borderId="1" xfId="0" applyNumberFormat="1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right" vertical="center" wrapText="1"/>
    </xf>
    <xf numFmtId="177" fontId="2" fillId="2" borderId="1" xfId="0" applyNumberFormat="1" applyFont="1" applyFill="1" applyBorder="1" applyAlignment="1">
      <alignment horizontal="center" vertical="center" wrapText="1"/>
    </xf>
    <xf numFmtId="177" fontId="5" fillId="2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tabSelected="1" zoomScale="71" zoomScaleNormal="71" workbookViewId="0">
      <selection activeCell="N7" sqref="N7"/>
    </sheetView>
  </sheetViews>
  <sheetFormatPr defaultColWidth="9" defaultRowHeight="14"/>
  <cols>
    <col min="1" max="1" width="9.21818181818182" style="33" customWidth="1"/>
    <col min="2" max="2" width="9.75454545454545" style="33" customWidth="1"/>
    <col min="3" max="3" width="6.21818181818182" style="33" customWidth="1"/>
    <col min="4" max="4" width="13.0363636363636" style="33" customWidth="1"/>
    <col min="5" max="5" width="16.4636363636364" style="34" customWidth="1"/>
    <col min="6" max="6" width="16.6" style="34" customWidth="1"/>
    <col min="7" max="7" width="20.9363636363636" style="34" customWidth="1"/>
    <col min="8" max="8" width="13.3090909090909" style="34" customWidth="1"/>
    <col min="9" max="9" width="10.1363636363636" style="13" customWidth="1"/>
    <col min="10" max="10" width="11.4090909090909" style="35" customWidth="1"/>
    <col min="11" max="16384" width="9" style="33"/>
  </cols>
  <sheetData>
    <row r="1" ht="44" customHeight="1" spans="1:10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="13" customFormat="1" ht="46" customHeight="1" spans="1:10">
      <c r="A2" s="15" t="s">
        <v>1</v>
      </c>
      <c r="B2" s="15" t="s">
        <v>2</v>
      </c>
      <c r="C2" s="15" t="s">
        <v>3</v>
      </c>
      <c r="D2" s="15" t="s">
        <v>4</v>
      </c>
      <c r="E2" s="36" t="s">
        <v>5</v>
      </c>
      <c r="F2" s="36" t="s">
        <v>6</v>
      </c>
      <c r="G2" s="36" t="s">
        <v>7</v>
      </c>
      <c r="H2" s="36" t="s">
        <v>8</v>
      </c>
      <c r="I2" s="15" t="s">
        <v>9</v>
      </c>
      <c r="J2" s="36" t="s">
        <v>10</v>
      </c>
    </row>
    <row r="3" ht="25" customHeight="1" spans="1:10">
      <c r="A3" s="16">
        <v>1</v>
      </c>
      <c r="B3" s="37" t="s">
        <v>11</v>
      </c>
      <c r="C3" s="37">
        <f>孤山!C12</f>
        <v>9</v>
      </c>
      <c r="D3" s="37">
        <f>孤山!D12</f>
        <v>1070.2</v>
      </c>
      <c r="E3" s="38">
        <f>孤山!E12</f>
        <v>1016.69</v>
      </c>
      <c r="F3" s="39">
        <f>孤山!F12</f>
        <v>96.52</v>
      </c>
      <c r="G3" s="40">
        <f>孤山!G12</f>
        <v>147.67456</v>
      </c>
      <c r="H3" s="40">
        <f>孤山!H12</f>
        <v>1164.37</v>
      </c>
      <c r="I3" s="5">
        <v>20</v>
      </c>
      <c r="J3" s="40">
        <f>孤山!J12</f>
        <v>23288</v>
      </c>
    </row>
    <row r="4" ht="25" customHeight="1" spans="1:10">
      <c r="A4" s="16">
        <v>2</v>
      </c>
      <c r="B4" s="37" t="s">
        <v>12</v>
      </c>
      <c r="C4" s="37">
        <f>郭万井!C5</f>
        <v>2</v>
      </c>
      <c r="D4" s="37">
        <f>郭万井!D5</f>
        <v>228</v>
      </c>
      <c r="E4" s="38">
        <f>郭万井!E5</f>
        <v>216.6</v>
      </c>
      <c r="F4" s="39">
        <f>郭万井!F5</f>
        <v>0</v>
      </c>
      <c r="G4" s="40">
        <f>郭万井!G5</f>
        <v>0</v>
      </c>
      <c r="H4" s="40">
        <f>郭万井!H5</f>
        <v>216.6</v>
      </c>
      <c r="I4" s="5">
        <v>20</v>
      </c>
      <c r="J4" s="40">
        <f>郭万井!J5</f>
        <v>4332</v>
      </c>
    </row>
    <row r="5" ht="25" customHeight="1" spans="1:10">
      <c r="A5" s="16">
        <v>3</v>
      </c>
      <c r="B5" s="37" t="s">
        <v>13</v>
      </c>
      <c r="C5" s="37">
        <f>北壕村!C9</f>
        <v>4</v>
      </c>
      <c r="D5" s="37">
        <f>北壕村!D9</f>
        <v>377</v>
      </c>
      <c r="E5" s="38">
        <f>北壕村!E9</f>
        <v>358.15</v>
      </c>
      <c r="F5" s="39">
        <f>北壕村!F9</f>
        <v>0</v>
      </c>
      <c r="G5" s="40">
        <f>北壕村!G9</f>
        <v>0</v>
      </c>
      <c r="H5" s="40">
        <f>北壕村!H9</f>
        <v>358.15</v>
      </c>
      <c r="I5" s="5">
        <v>20</v>
      </c>
      <c r="J5" s="40">
        <f>北壕村!J9</f>
        <v>7163</v>
      </c>
    </row>
    <row r="6" ht="25" customHeight="1" spans="1:10">
      <c r="A6" s="16">
        <v>4</v>
      </c>
      <c r="B6" s="37" t="s">
        <v>14</v>
      </c>
      <c r="C6" s="37">
        <f>嘉应寺!C6</f>
        <v>3</v>
      </c>
      <c r="D6" s="5">
        <f>嘉应寺!D6</f>
        <v>482</v>
      </c>
      <c r="E6" s="38">
        <f>嘉应寺!E6</f>
        <v>457.9</v>
      </c>
      <c r="F6" s="39">
        <f>嘉应寺!F6</f>
        <v>0</v>
      </c>
      <c r="G6" s="40">
        <f>嘉应寺!G6</f>
        <v>0</v>
      </c>
      <c r="H6" s="40">
        <f>嘉应寺!H6</f>
        <v>457.9</v>
      </c>
      <c r="I6" s="5">
        <v>20</v>
      </c>
      <c r="J6" s="40">
        <f>嘉应寺!J6</f>
        <v>9158</v>
      </c>
    </row>
    <row r="7" ht="25" customHeight="1" spans="1:10">
      <c r="A7" s="16">
        <v>5</v>
      </c>
      <c r="B7" s="37" t="s">
        <v>15</v>
      </c>
      <c r="C7" s="37">
        <f>永丰村!C7</f>
        <v>4</v>
      </c>
      <c r="D7" s="5">
        <f>永丰村!D7</f>
        <v>709</v>
      </c>
      <c r="E7" s="38">
        <f>永丰村!E7</f>
        <v>673.55</v>
      </c>
      <c r="F7" s="39">
        <f>永丰村!F7</f>
        <v>0</v>
      </c>
      <c r="G7" s="40">
        <f>永丰村!G7</f>
        <v>0</v>
      </c>
      <c r="H7" s="40">
        <f>永丰村!H7</f>
        <v>673.55</v>
      </c>
      <c r="I7" s="5">
        <v>20</v>
      </c>
      <c r="J7" s="40">
        <f>永丰村!J7</f>
        <v>13471</v>
      </c>
    </row>
    <row r="8" ht="25" customHeight="1" spans="1:10">
      <c r="A8" s="16">
        <v>6</v>
      </c>
      <c r="B8" s="37" t="s">
        <v>16</v>
      </c>
      <c r="C8" s="37">
        <f>九龙关!C7</f>
        <v>1</v>
      </c>
      <c r="D8" s="37">
        <f>九龙关!D7</f>
        <v>140</v>
      </c>
      <c r="E8" s="38">
        <f>九龙关!E7</f>
        <v>133</v>
      </c>
      <c r="F8" s="39">
        <f>九龙关!F7</f>
        <v>0</v>
      </c>
      <c r="G8" s="40">
        <f>九龙关!G7</f>
        <v>0</v>
      </c>
      <c r="H8" s="40">
        <f>九龙关!H7</f>
        <v>133</v>
      </c>
      <c r="I8" s="5">
        <v>20</v>
      </c>
      <c r="J8" s="40">
        <f>九龙关!J7</f>
        <v>2660</v>
      </c>
    </row>
    <row r="9" ht="25" customHeight="1" spans="1:10">
      <c r="A9" s="16">
        <v>7</v>
      </c>
      <c r="B9" s="41" t="s">
        <v>17</v>
      </c>
      <c r="C9" s="41">
        <f>回车村!C6</f>
        <v>1</v>
      </c>
      <c r="D9" s="37">
        <f>回车村!D6</f>
        <v>42</v>
      </c>
      <c r="E9" s="38">
        <f>回车村!E6</f>
        <v>39.9</v>
      </c>
      <c r="F9" s="39">
        <f>回车村!F6</f>
        <v>0</v>
      </c>
      <c r="G9" s="40">
        <f>回车村!G6</f>
        <v>0</v>
      </c>
      <c r="H9" s="40">
        <f>回车村!H6</f>
        <v>39.9</v>
      </c>
      <c r="I9" s="5">
        <v>20</v>
      </c>
      <c r="J9" s="40">
        <f>回车村!J6</f>
        <v>798</v>
      </c>
    </row>
    <row r="10" ht="25" customHeight="1" spans="1:10">
      <c r="A10" s="16">
        <v>8</v>
      </c>
      <c r="B10" s="41" t="s">
        <v>18</v>
      </c>
      <c r="C10" s="41">
        <f>冯家村!C8</f>
        <v>5</v>
      </c>
      <c r="D10" s="37">
        <f>冯家村!D8</f>
        <v>423</v>
      </c>
      <c r="E10" s="38">
        <f>冯家村!E8</f>
        <v>401.85</v>
      </c>
      <c r="F10" s="39">
        <f>冯家村!F8</f>
        <v>60</v>
      </c>
      <c r="G10" s="40">
        <f>冯家村!G8</f>
        <v>91.8</v>
      </c>
      <c r="H10" s="40">
        <f>冯家村!H8</f>
        <v>493.65</v>
      </c>
      <c r="I10" s="5">
        <v>20</v>
      </c>
      <c r="J10" s="40">
        <f>冯家村!J8</f>
        <v>9872</v>
      </c>
    </row>
    <row r="11" ht="25" customHeight="1" spans="1:10">
      <c r="A11" s="16">
        <v>9</v>
      </c>
      <c r="B11" s="41" t="s">
        <v>19</v>
      </c>
      <c r="C11" s="41">
        <f>武家村!C8</f>
        <v>1</v>
      </c>
      <c r="D11" s="37">
        <f>武家村!D8</f>
        <v>130</v>
      </c>
      <c r="E11" s="38">
        <f>武家村!E8</f>
        <v>123.5</v>
      </c>
      <c r="F11" s="39">
        <v>0</v>
      </c>
      <c r="G11" s="40">
        <v>0</v>
      </c>
      <c r="H11" s="40">
        <f>武家村!H8</f>
        <v>123.5</v>
      </c>
      <c r="I11" s="5">
        <v>20</v>
      </c>
      <c r="J11" s="40">
        <f>武家村!J8</f>
        <v>2470</v>
      </c>
    </row>
    <row r="12" ht="25" customHeight="1" spans="1:10">
      <c r="A12" s="16">
        <v>10</v>
      </c>
      <c r="B12" s="41" t="str">
        <f>赵堡村!A1</f>
        <v>赵堡村</v>
      </c>
      <c r="C12" s="41">
        <f>赵堡村!C12</f>
        <v>9</v>
      </c>
      <c r="D12" s="37">
        <f>赵堡村!D12</f>
        <v>1040</v>
      </c>
      <c r="E12" s="38">
        <f>赵堡村!E12</f>
        <v>988</v>
      </c>
      <c r="F12" s="39">
        <v>0</v>
      </c>
      <c r="G12" s="40">
        <v>0</v>
      </c>
      <c r="H12" s="40">
        <f>赵堡村!H12</f>
        <v>988</v>
      </c>
      <c r="I12" s="5">
        <v>20</v>
      </c>
      <c r="J12" s="40">
        <f>赵堡村!J12</f>
        <v>19759</v>
      </c>
    </row>
    <row r="13" ht="43" customHeight="1" spans="1:10">
      <c r="A13" s="42" t="s">
        <v>20</v>
      </c>
      <c r="B13" s="21">
        <f>A11</f>
        <v>9</v>
      </c>
      <c r="C13" s="21">
        <f>SUM(C3:C12)</f>
        <v>39</v>
      </c>
      <c r="D13" s="22">
        <f>SUM(D3:D12)</f>
        <v>4641.2</v>
      </c>
      <c r="E13" s="43">
        <f>D13*0.95</f>
        <v>4409.14</v>
      </c>
      <c r="F13" s="43">
        <f>SUM(F3:F12)</f>
        <v>156.52</v>
      </c>
      <c r="G13" s="44">
        <f>F13*1.53</f>
        <v>239.4756</v>
      </c>
      <c r="H13" s="44">
        <f>E13+G13</f>
        <v>4648.6156</v>
      </c>
      <c r="I13" s="23"/>
      <c r="J13" s="44">
        <f>SUM(J3:J12)</f>
        <v>92971</v>
      </c>
    </row>
    <row r="14" ht="19.95" customHeight="1"/>
    <row r="15" ht="19.95" customHeight="1"/>
    <row r="16" ht="19.95" customHeight="1"/>
    <row r="31" ht="21" customHeight="1"/>
  </sheetData>
  <mergeCells count="1">
    <mergeCell ref="A1:J1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A1:J12"/>
  <sheetViews>
    <sheetView zoomScale="80" zoomScaleNormal="80" workbookViewId="0">
      <selection activeCell="I18" sqref="I18"/>
    </sheetView>
  </sheetViews>
  <sheetFormatPr defaultColWidth="9" defaultRowHeight="14"/>
  <cols>
    <col min="1" max="3" width="9" style="24"/>
    <col min="4" max="4" width="14.3181818181818" style="24" customWidth="1"/>
    <col min="5" max="5" width="15.8" style="24" customWidth="1"/>
    <col min="6" max="6" width="15.2272727272727" style="24" customWidth="1"/>
    <col min="7" max="7" width="20.7909090909091" style="24" customWidth="1"/>
    <col min="8" max="8" width="13.4090909090909" style="24" customWidth="1"/>
    <col min="9" max="9" width="9.65454545454545" style="24" customWidth="1"/>
    <col min="10" max="10" width="11.4727272727273" style="24" customWidth="1"/>
    <col min="11" max="16384" width="9" style="24"/>
  </cols>
  <sheetData>
    <row r="1" ht="41" customHeight="1" spans="1:10">
      <c r="A1" s="1" t="s">
        <v>11</v>
      </c>
      <c r="B1" s="1"/>
      <c r="C1" s="1"/>
      <c r="D1" s="1"/>
      <c r="E1" s="1"/>
      <c r="F1" s="1"/>
      <c r="G1" s="1"/>
      <c r="H1" s="1"/>
      <c r="I1" s="1"/>
      <c r="J1" s="1"/>
    </row>
    <row r="2" ht="47" customHeight="1" spans="1:10">
      <c r="A2" s="2" t="s">
        <v>1</v>
      </c>
      <c r="B2" s="2" t="s">
        <v>21</v>
      </c>
      <c r="C2" s="2" t="s">
        <v>22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19.2" customHeight="1" spans="1:10">
      <c r="A3" s="29">
        <v>1</v>
      </c>
      <c r="B3" s="29" t="s">
        <v>11</v>
      </c>
      <c r="C3" s="29" t="s">
        <v>23</v>
      </c>
      <c r="D3" s="27">
        <f>19*5+15*4</f>
        <v>155</v>
      </c>
      <c r="E3" s="3">
        <f>D3*0.95</f>
        <v>147.25</v>
      </c>
      <c r="F3" s="27">
        <f>19*3*0.24</f>
        <v>13.68</v>
      </c>
      <c r="G3" s="4">
        <f>ROUND(F3*1.53,2)</f>
        <v>20.93</v>
      </c>
      <c r="H3" s="4">
        <f t="shared" ref="H3:H8" si="0">ROUND(E3+G3,2)</f>
        <v>168.18</v>
      </c>
      <c r="I3" s="4">
        <v>20</v>
      </c>
      <c r="J3" s="4">
        <f>ROUND(H3*I3,0)</f>
        <v>3364</v>
      </c>
    </row>
    <row r="4" ht="19.2" customHeight="1" spans="1:10">
      <c r="A4" s="29">
        <v>2</v>
      </c>
      <c r="B4" s="29" t="s">
        <v>11</v>
      </c>
      <c r="C4" s="29" t="s">
        <v>24</v>
      </c>
      <c r="D4" s="27">
        <f>16*4.2+6*4*2</f>
        <v>115.2</v>
      </c>
      <c r="E4" s="3">
        <f>D4*0.95</f>
        <v>109.44</v>
      </c>
      <c r="F4" s="27">
        <f>16*3.2*0.24</f>
        <v>12.288</v>
      </c>
      <c r="G4" s="4">
        <f>ROUND(F4*1.53,2)</f>
        <v>18.8</v>
      </c>
      <c r="H4" s="4">
        <f t="shared" si="0"/>
        <v>128.24</v>
      </c>
      <c r="I4" s="4">
        <v>20</v>
      </c>
      <c r="J4" s="4">
        <f>ROUND(H4*I4,0)</f>
        <v>2565</v>
      </c>
    </row>
    <row r="5" ht="19.2" customHeight="1" spans="1:10">
      <c r="A5" s="29">
        <v>3</v>
      </c>
      <c r="B5" s="29" t="s">
        <v>11</v>
      </c>
      <c r="C5" s="29" t="s">
        <v>25</v>
      </c>
      <c r="D5" s="27">
        <f>16*4+15*3*2</f>
        <v>154</v>
      </c>
      <c r="E5" s="3">
        <f>D5*0.95</f>
        <v>146.3</v>
      </c>
      <c r="F5" s="27">
        <f>16*3.1*0.24</f>
        <v>11.904</v>
      </c>
      <c r="G5" s="4">
        <f>F5*1.53</f>
        <v>18.21312</v>
      </c>
      <c r="H5" s="4">
        <f t="shared" si="0"/>
        <v>164.51</v>
      </c>
      <c r="I5" s="4">
        <v>20</v>
      </c>
      <c r="J5" s="4">
        <f>ROUND(H5*I5,0)</f>
        <v>3290</v>
      </c>
    </row>
    <row r="6" ht="19.2" customHeight="1" spans="1:10">
      <c r="A6" s="29">
        <v>4</v>
      </c>
      <c r="B6" s="29" t="s">
        <v>11</v>
      </c>
      <c r="C6" s="29" t="s">
        <v>26</v>
      </c>
      <c r="D6" s="27">
        <v>67.5</v>
      </c>
      <c r="E6" s="3">
        <f>D6*0.95</f>
        <v>64.125</v>
      </c>
      <c r="F6" s="27"/>
      <c r="G6" s="4">
        <f>F6*1.53</f>
        <v>0</v>
      </c>
      <c r="H6" s="4">
        <f t="shared" si="0"/>
        <v>64.13</v>
      </c>
      <c r="I6" s="4">
        <v>20</v>
      </c>
      <c r="J6" s="4">
        <f>ROUND(H6*I6,0)</f>
        <v>1283</v>
      </c>
    </row>
    <row r="7" ht="19.2" customHeight="1" spans="1:10">
      <c r="A7" s="29">
        <v>5</v>
      </c>
      <c r="B7" s="29" t="s">
        <v>11</v>
      </c>
      <c r="C7" s="29" t="s">
        <v>27</v>
      </c>
      <c r="D7" s="27">
        <v>72</v>
      </c>
      <c r="E7" s="3">
        <f>D7*0.95</f>
        <v>68.4</v>
      </c>
      <c r="F7" s="27"/>
      <c r="G7" s="4">
        <f>F7*1.53</f>
        <v>0</v>
      </c>
      <c r="H7" s="4">
        <f t="shared" si="0"/>
        <v>68.4</v>
      </c>
      <c r="I7" s="4">
        <v>20</v>
      </c>
      <c r="J7" s="4">
        <f>ROUND(H7*I7,0)</f>
        <v>1368</v>
      </c>
    </row>
    <row r="8" ht="19.2" customHeight="1" spans="1:10">
      <c r="A8" s="29">
        <v>6</v>
      </c>
      <c r="B8" s="29" t="s">
        <v>11</v>
      </c>
      <c r="C8" s="29" t="s">
        <v>28</v>
      </c>
      <c r="D8" s="27">
        <v>140</v>
      </c>
      <c r="E8" s="3">
        <f>D8*0.95</f>
        <v>133</v>
      </c>
      <c r="F8" s="27">
        <f>18*3*0.24</f>
        <v>12.96</v>
      </c>
      <c r="G8" s="4">
        <f>F8*1.53</f>
        <v>19.8288</v>
      </c>
      <c r="H8" s="4">
        <f t="shared" si="0"/>
        <v>152.83</v>
      </c>
      <c r="I8" s="4">
        <v>20</v>
      </c>
      <c r="J8" s="4">
        <f>ROUND(H8*I8,0)</f>
        <v>3057</v>
      </c>
    </row>
    <row r="9" ht="19.2" customHeight="1" spans="1:10">
      <c r="A9" s="29">
        <v>7</v>
      </c>
      <c r="B9" s="29" t="s">
        <v>11</v>
      </c>
      <c r="C9" s="32" t="s">
        <v>29</v>
      </c>
      <c r="D9" s="27">
        <v>136</v>
      </c>
      <c r="E9" s="3">
        <f>D9*0.95</f>
        <v>129.2</v>
      </c>
      <c r="F9" s="27">
        <f>16*3.2*0.24</f>
        <v>12.288</v>
      </c>
      <c r="G9" s="4">
        <f>F9*1.53</f>
        <v>18.80064</v>
      </c>
      <c r="H9" s="4">
        <f>ROUND(E9+G9,2)</f>
        <v>148</v>
      </c>
      <c r="I9" s="4">
        <v>20</v>
      </c>
      <c r="J9" s="4">
        <f>ROUND(H9*I9,0)</f>
        <v>2960</v>
      </c>
    </row>
    <row r="10" ht="19.2" customHeight="1" spans="1:10">
      <c r="A10" s="29">
        <v>8</v>
      </c>
      <c r="B10" s="29" t="s">
        <v>11</v>
      </c>
      <c r="C10" s="32" t="s">
        <v>30</v>
      </c>
      <c r="D10" s="27">
        <v>99</v>
      </c>
      <c r="E10" s="3">
        <f>D10*0.95</f>
        <v>94.05</v>
      </c>
      <c r="F10" s="27">
        <f>18*3*0.5</f>
        <v>27</v>
      </c>
      <c r="G10" s="4">
        <f>F10*1.53</f>
        <v>41.31</v>
      </c>
      <c r="H10" s="4">
        <f>ROUND(E10+G10,2)</f>
        <v>135.36</v>
      </c>
      <c r="I10" s="4">
        <v>20</v>
      </c>
      <c r="J10" s="4">
        <f>ROUND(H10*I10,0)</f>
        <v>2707</v>
      </c>
    </row>
    <row r="11" ht="19.2" customHeight="1" spans="1:10">
      <c r="A11" s="29">
        <v>9</v>
      </c>
      <c r="B11" s="29" t="s">
        <v>11</v>
      </c>
      <c r="C11" s="32" t="s">
        <v>31</v>
      </c>
      <c r="D11" s="27">
        <v>131.5</v>
      </c>
      <c r="E11" s="3">
        <f>D11*0.95</f>
        <v>124.925</v>
      </c>
      <c r="F11" s="27">
        <f>4*3.2*0.5</f>
        <v>6.4</v>
      </c>
      <c r="G11" s="4">
        <f>F11*1.53</f>
        <v>9.792</v>
      </c>
      <c r="H11" s="4">
        <f>ROUND(E11+G11,2)</f>
        <v>134.72</v>
      </c>
      <c r="I11" s="4">
        <v>20</v>
      </c>
      <c r="J11" s="4">
        <f>ROUND(H11*I11,0)</f>
        <v>2694</v>
      </c>
    </row>
    <row r="12" ht="15" spans="1:10">
      <c r="A12" s="7" t="s">
        <v>20</v>
      </c>
      <c r="B12" s="8"/>
      <c r="C12" s="9">
        <v>9</v>
      </c>
      <c r="D12" s="10">
        <f>SUM(D3:D11)</f>
        <v>1070.2</v>
      </c>
      <c r="E12" s="10">
        <f>SUM(E3:E11)</f>
        <v>1016.69</v>
      </c>
      <c r="F12" s="10">
        <f>SUM(F3:F11)</f>
        <v>96.52</v>
      </c>
      <c r="G12" s="10">
        <f>SUM(G3:G11)</f>
        <v>147.67456</v>
      </c>
      <c r="H12" s="10">
        <f>SUM(H3:H11)</f>
        <v>1164.37</v>
      </c>
      <c r="I12" s="10"/>
      <c r="J12" s="10">
        <f>SUM(J3:J11)</f>
        <v>23288</v>
      </c>
    </row>
  </sheetData>
  <mergeCells count="2">
    <mergeCell ref="A1:J1"/>
    <mergeCell ref="A12:B12"/>
  </mergeCells>
  <pageMargins left="0.699305555555556" right="0.699305555555556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A1:J26"/>
  <sheetViews>
    <sheetView zoomScale="85" zoomScaleNormal="85" workbookViewId="0">
      <selection activeCell="D2" sqref="D$1:D$1048576"/>
    </sheetView>
  </sheetViews>
  <sheetFormatPr defaultColWidth="9" defaultRowHeight="14"/>
  <cols>
    <col min="1" max="1" width="9" style="24"/>
    <col min="2" max="2" width="11.1090909090909" style="24" customWidth="1"/>
    <col min="3" max="3" width="9" style="24"/>
    <col min="4" max="4" width="12.1818181818182" style="24" customWidth="1"/>
    <col min="5" max="5" width="15.5090909090909" style="24" customWidth="1"/>
    <col min="6" max="6" width="15.2909090909091" style="24" customWidth="1"/>
    <col min="7" max="7" width="19.0363636363636" style="24" customWidth="1"/>
    <col min="8" max="8" width="13.3363636363636" style="24" customWidth="1"/>
    <col min="9" max="9" width="11" style="24" customWidth="1"/>
    <col min="10" max="10" width="11.7545454545455" style="24" customWidth="1"/>
    <col min="11" max="16384" width="9" style="24"/>
  </cols>
  <sheetData>
    <row r="1" ht="46" customHeight="1" spans="1:10">
      <c r="A1" s="1" t="s">
        <v>12</v>
      </c>
      <c r="B1" s="1"/>
      <c r="C1" s="1"/>
      <c r="D1" s="1"/>
      <c r="E1" s="1"/>
      <c r="F1" s="1"/>
      <c r="G1" s="1"/>
      <c r="H1" s="1"/>
      <c r="I1" s="1"/>
      <c r="J1" s="1"/>
    </row>
    <row r="2" ht="39" customHeight="1" spans="1:10">
      <c r="A2" s="2" t="s">
        <v>1</v>
      </c>
      <c r="B2" s="2" t="s">
        <v>21</v>
      </c>
      <c r="C2" s="2" t="s">
        <v>22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4" customHeight="1" spans="1:10">
      <c r="A3" s="3">
        <v>1</v>
      </c>
      <c r="B3" s="3" t="s">
        <v>12</v>
      </c>
      <c r="C3" s="29" t="s">
        <v>32</v>
      </c>
      <c r="D3" s="27">
        <f>12*5*2+4*3*3</f>
        <v>156</v>
      </c>
      <c r="E3" s="3">
        <f>ROUND(D3*0.95,2)</f>
        <v>148.2</v>
      </c>
      <c r="F3" s="27"/>
      <c r="G3" s="4"/>
      <c r="H3" s="4">
        <f>ROUND(E3+G3,2)</f>
        <v>148.2</v>
      </c>
      <c r="I3" s="4">
        <v>20</v>
      </c>
      <c r="J3" s="4">
        <f>ROUND(H3*I3,2)</f>
        <v>2964</v>
      </c>
    </row>
    <row r="4" ht="24" customHeight="1" spans="1:10">
      <c r="A4" s="3">
        <v>2</v>
      </c>
      <c r="B4" s="3" t="s">
        <v>12</v>
      </c>
      <c r="C4" s="29" t="s">
        <v>33</v>
      </c>
      <c r="D4" s="27">
        <v>72</v>
      </c>
      <c r="E4" s="3">
        <f>ROUND(D4*0.95,2)</f>
        <v>68.4</v>
      </c>
      <c r="F4" s="27"/>
      <c r="G4" s="4"/>
      <c r="H4" s="4">
        <f>ROUND(E4+G4,2)</f>
        <v>68.4</v>
      </c>
      <c r="I4" s="4">
        <v>20</v>
      </c>
      <c r="J4" s="4">
        <f>ROUND(H4*I4,2)</f>
        <v>1368</v>
      </c>
    </row>
    <row r="5" ht="24" customHeight="1" spans="1:10">
      <c r="A5" s="7" t="s">
        <v>20</v>
      </c>
      <c r="B5" s="8"/>
      <c r="C5" s="9">
        <v>2</v>
      </c>
      <c r="D5" s="10">
        <f>SUM(D3:D4)</f>
        <v>228</v>
      </c>
      <c r="E5" s="10">
        <f>SUM(E3:E4)</f>
        <v>216.6</v>
      </c>
      <c r="F5" s="10"/>
      <c r="G5" s="12"/>
      <c r="H5" s="12">
        <f>SUM(H3:H4)</f>
        <v>216.6</v>
      </c>
      <c r="I5" s="12"/>
      <c r="J5" s="12">
        <f>SUM(J3:J4)</f>
        <v>4332</v>
      </c>
    </row>
    <row r="15" spans="1:10">
      <c r="F15" s="31"/>
    </row>
    <row r="26" ht="21" customHeight="1"/>
  </sheetData>
  <mergeCells count="2">
    <mergeCell ref="A1:J1"/>
    <mergeCell ref="A5:B5"/>
  </mergeCells>
  <pageMargins left="0.699305555555556" right="0.699305555555556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A1:J19"/>
  <sheetViews>
    <sheetView zoomScale="84" zoomScaleNormal="84" workbookViewId="0">
      <selection activeCell="D11" sqref="D11"/>
    </sheetView>
  </sheetViews>
  <sheetFormatPr defaultColWidth="9" defaultRowHeight="14"/>
  <cols>
    <col min="1" max="1" width="6.70909090909091" style="24" customWidth="1"/>
    <col min="2" max="2" width="9.73636363636364" style="24" customWidth="1"/>
    <col min="3" max="3" width="9.74545454545455" style="24" customWidth="1"/>
    <col min="4" max="4" width="13.2" style="24" customWidth="1"/>
    <col min="5" max="5" width="15.9090909090909" style="24" customWidth="1"/>
    <col min="6" max="6" width="15.8" style="24" customWidth="1"/>
    <col min="7" max="7" width="19.1454545454545" style="24" customWidth="1"/>
    <col min="8" max="8" width="14.4909090909091" style="24" customWidth="1"/>
    <col min="9" max="9" width="10.8181818181818" style="24" customWidth="1"/>
    <col min="10" max="10" width="11.1454545454545" style="24" customWidth="1"/>
    <col min="11" max="16384" width="9" style="24"/>
  </cols>
  <sheetData>
    <row r="1" ht="25.5" spans="1:10">
      <c r="A1" s="1" t="s">
        <v>13</v>
      </c>
      <c r="B1" s="1"/>
      <c r="C1" s="1"/>
      <c r="D1" s="1"/>
      <c r="E1" s="1"/>
      <c r="F1" s="1"/>
      <c r="G1" s="1"/>
      <c r="H1" s="1"/>
      <c r="I1" s="1"/>
      <c r="J1" s="1"/>
    </row>
    <row r="2" ht="48" customHeight="1" spans="1:10">
      <c r="A2" s="2" t="s">
        <v>1</v>
      </c>
      <c r="B2" s="2" t="s">
        <v>21</v>
      </c>
      <c r="C2" s="2" t="s">
        <v>22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5" customHeight="1" spans="1:10">
      <c r="A3" s="3">
        <v>1</v>
      </c>
      <c r="B3" s="3" t="s">
        <v>13</v>
      </c>
      <c r="C3" s="29" t="s">
        <v>34</v>
      </c>
      <c r="D3" s="27">
        <f>8*8+3*4+1.5*2</f>
        <v>79</v>
      </c>
      <c r="E3" s="3">
        <f>ROUND(D3*0.95,2)</f>
        <v>75.05</v>
      </c>
      <c r="F3" s="27"/>
      <c r="G3" s="4">
        <f>ROUND(F3*1.53,2)</f>
        <v>0</v>
      </c>
      <c r="H3" s="4">
        <f>ROUND(E3+G3,2)</f>
        <v>75.05</v>
      </c>
      <c r="I3" s="4">
        <v>20</v>
      </c>
      <c r="J3" s="4">
        <f>ROUND(H3*I3,0)</f>
        <v>1501</v>
      </c>
    </row>
    <row r="4" ht="25" customHeight="1" spans="1:10">
      <c r="A4" s="3">
        <v>2</v>
      </c>
      <c r="B4" s="3" t="s">
        <v>13</v>
      </c>
      <c r="C4" s="29" t="s">
        <v>35</v>
      </c>
      <c r="D4" s="27">
        <v>108</v>
      </c>
      <c r="E4" s="3">
        <f t="shared" ref="E4:E5" si="0">ROUND(D4*0.95,2)</f>
        <v>102.6</v>
      </c>
      <c r="F4" s="27"/>
      <c r="G4" s="4">
        <f t="shared" ref="G4" si="1">ROUND(F4*1.53,2)</f>
        <v>0</v>
      </c>
      <c r="H4" s="4">
        <f t="shared" ref="H4:H5" si="2">ROUND(E4+G4,2)</f>
        <v>102.6</v>
      </c>
      <c r="I4" s="4">
        <v>20</v>
      </c>
      <c r="J4" s="4">
        <f>ROUND(H4*I4,0)</f>
        <v>2052</v>
      </c>
    </row>
    <row r="5" ht="25" customHeight="1" spans="1:10">
      <c r="A5" s="3">
        <v>3</v>
      </c>
      <c r="B5" s="3" t="s">
        <v>13</v>
      </c>
      <c r="C5" s="30" t="s">
        <v>36</v>
      </c>
      <c r="D5" s="27">
        <v>80</v>
      </c>
      <c r="E5" s="3">
        <f t="shared" si="0"/>
        <v>76</v>
      </c>
      <c r="F5" s="27"/>
      <c r="G5" s="4"/>
      <c r="H5" s="4">
        <f t="shared" si="2"/>
        <v>76</v>
      </c>
      <c r="I5" s="4">
        <v>20</v>
      </c>
      <c r="J5" s="4">
        <f>ROUND(H5*I5,0)</f>
        <v>1520</v>
      </c>
    </row>
    <row r="6" ht="25" customHeight="1" spans="1:10">
      <c r="A6" s="3">
        <v>4</v>
      </c>
      <c r="B6" s="3" t="s">
        <v>13</v>
      </c>
      <c r="C6" s="30" t="s">
        <v>37</v>
      </c>
      <c r="D6" s="27">
        <v>110</v>
      </c>
      <c r="E6" s="3">
        <f>ROUND(D6*0.95,2)</f>
        <v>104.5</v>
      </c>
      <c r="F6" s="27"/>
      <c r="G6" s="4"/>
      <c r="H6" s="4">
        <f>ROUND(E6+G6,2)</f>
        <v>104.5</v>
      </c>
      <c r="I6" s="4">
        <v>20</v>
      </c>
      <c r="J6" s="4">
        <f>ROUND(H6*I6,0)</f>
        <v>2090</v>
      </c>
    </row>
    <row r="7" ht="25" customHeight="1" spans="1:10">
      <c r="A7" s="3">
        <v>5</v>
      </c>
      <c r="B7" s="3" t="s">
        <v>13</v>
      </c>
      <c r="C7" s="30"/>
      <c r="D7" s="27"/>
      <c r="E7" s="3">
        <f>ROUND(D7*0.95,2)</f>
        <v>0</v>
      </c>
      <c r="F7" s="27"/>
      <c r="G7" s="4"/>
      <c r="H7" s="4">
        <f>ROUND(E7+G7,2)</f>
        <v>0</v>
      </c>
      <c r="I7" s="4">
        <v>20</v>
      </c>
      <c r="J7" s="4">
        <f>ROUND(H7*I7,0)</f>
        <v>0</v>
      </c>
    </row>
    <row r="8" ht="25" customHeight="1" spans="1:10">
      <c r="A8" s="3">
        <v>6</v>
      </c>
      <c r="B8" s="3" t="s">
        <v>13</v>
      </c>
      <c r="C8" s="30"/>
      <c r="D8" s="27"/>
      <c r="E8" s="3">
        <f>ROUND(D8*0.95,2)</f>
        <v>0</v>
      </c>
      <c r="F8" s="27"/>
      <c r="G8" s="4"/>
      <c r="H8" s="4">
        <f>ROUND(E8+G8,2)</f>
        <v>0</v>
      </c>
      <c r="I8" s="4">
        <v>20</v>
      </c>
      <c r="J8" s="4">
        <f>ROUND(H8*I8,0)</f>
        <v>0</v>
      </c>
    </row>
    <row r="9" ht="32.4" customHeight="1" spans="1:10">
      <c r="A9" s="7" t="s">
        <v>20</v>
      </c>
      <c r="B9" s="8"/>
      <c r="C9" s="9">
        <v>4</v>
      </c>
      <c r="D9" s="10">
        <f>SUM(D3:D8)</f>
        <v>377</v>
      </c>
      <c r="E9" s="10">
        <f>SUM(E3:E8)</f>
        <v>358.15</v>
      </c>
      <c r="F9" s="10">
        <f>SUM(F3:F5)</f>
        <v>0</v>
      </c>
      <c r="G9" s="10">
        <f>SUM(G3:G5)</f>
        <v>0</v>
      </c>
      <c r="H9" s="10">
        <f>SUM(H3:H8)</f>
        <v>358.15</v>
      </c>
      <c r="I9" s="10"/>
      <c r="J9" s="10">
        <f>SUM(J3:J8)</f>
        <v>7163</v>
      </c>
    </row>
    <row r="10" ht="26.4" customHeight="1"/>
    <row r="11" ht="26.4" customHeight="1"/>
    <row r="12" ht="26.4" customHeight="1"/>
    <row r="13" ht="26.4" customHeight="1"/>
    <row r="14" ht="26.4" customHeight="1"/>
    <row r="15" ht="26.4" customHeight="1"/>
    <row r="16" ht="26.4" customHeight="1"/>
    <row r="17" ht="26.4" customHeight="1"/>
    <row r="18" ht="26.4" customHeight="1"/>
    <row r="19" ht="26.4" customHeight="1"/>
  </sheetData>
  <mergeCells count="2">
    <mergeCell ref="A1:J1"/>
    <mergeCell ref="A9:B9"/>
  </mergeCells>
  <pageMargins left="0.699305555555556" right="0.699305555555556" top="0.75" bottom="0.75" header="0.3" footer="0.3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A1:J7"/>
  <sheetViews>
    <sheetView zoomScale="88" zoomScaleNormal="88" workbookViewId="0">
      <selection activeCell="I13" sqref="I13"/>
    </sheetView>
  </sheetViews>
  <sheetFormatPr defaultColWidth="9" defaultRowHeight="14" outlineLevelRow="6"/>
  <cols>
    <col min="1" max="1" width="6.27272727272727" style="24" customWidth="1"/>
    <col min="2" max="2" width="11.8727272727273" style="24" customWidth="1"/>
    <col min="3" max="3" width="11.4636363636364" style="24" customWidth="1"/>
    <col min="4" max="4" width="12.7" style="24" customWidth="1"/>
    <col min="5" max="5" width="15.6" style="24" customWidth="1"/>
    <col min="6" max="6" width="15.7" style="24" customWidth="1"/>
    <col min="7" max="7" width="20.0363636363636" style="24" customWidth="1"/>
    <col min="8" max="8" width="12.3909090909091" style="24" customWidth="1"/>
    <col min="9" max="9" width="11.0454545454545" style="24" customWidth="1"/>
    <col min="10" max="10" width="10.4272727272727" style="24" customWidth="1"/>
    <col min="11" max="16384" width="9" style="24"/>
  </cols>
  <sheetData>
    <row r="1" ht="43" customHeight="1" spans="1:10">
      <c r="A1" s="1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ht="42" customHeight="1" spans="1:10">
      <c r="A2" s="2" t="s">
        <v>1</v>
      </c>
      <c r="B2" s="2" t="s">
        <v>21</v>
      </c>
      <c r="C2" s="2" t="s">
        <v>22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6.4" customHeight="1" spans="1:10">
      <c r="A3" s="3">
        <v>1</v>
      </c>
      <c r="B3" s="3" t="s">
        <v>38</v>
      </c>
      <c r="C3" s="29" t="s">
        <v>39</v>
      </c>
      <c r="D3" s="27">
        <v>224</v>
      </c>
      <c r="E3" s="3">
        <f>ROUND(D3*0.95,2)</f>
        <v>212.8</v>
      </c>
      <c r="F3" s="27"/>
      <c r="G3" s="4">
        <f>ROUND(F3*1.53,2)</f>
        <v>0</v>
      </c>
      <c r="H3" s="4">
        <f>ROUND(E3+G3,2)</f>
        <v>212.8</v>
      </c>
      <c r="I3" s="4">
        <v>20</v>
      </c>
      <c r="J3" s="4">
        <f>ROUND(H3*I3,0)</f>
        <v>4256</v>
      </c>
    </row>
    <row r="4" ht="26.4" customHeight="1" spans="1:10">
      <c r="A4" s="3">
        <v>2</v>
      </c>
      <c r="B4" s="3" t="s">
        <v>38</v>
      </c>
      <c r="C4" s="29" t="s">
        <v>40</v>
      </c>
      <c r="D4" s="27">
        <v>110</v>
      </c>
      <c r="E4" s="3">
        <f>ROUND(D4*0.95,2)</f>
        <v>104.5</v>
      </c>
      <c r="F4" s="27"/>
      <c r="G4" s="4">
        <f>ROUND(F4*1.53,2)</f>
        <v>0</v>
      </c>
      <c r="H4" s="4">
        <f>ROUND(E4+G4,2)</f>
        <v>104.5</v>
      </c>
      <c r="I4" s="4">
        <v>20</v>
      </c>
      <c r="J4" s="4">
        <f>ROUND(H4*I4,0)</f>
        <v>2090</v>
      </c>
    </row>
    <row r="5" ht="26.4" customHeight="1" spans="1:10">
      <c r="A5" s="3">
        <v>3</v>
      </c>
      <c r="B5" s="3" t="s">
        <v>38</v>
      </c>
      <c r="C5" s="27" t="s">
        <v>41</v>
      </c>
      <c r="D5" s="27">
        <f>16*7+12*3</f>
        <v>148</v>
      </c>
      <c r="E5" s="3">
        <f>ROUND(D5*0.95,2)</f>
        <v>140.6</v>
      </c>
      <c r="F5" s="27"/>
      <c r="G5" s="4">
        <f>ROUND(F5*1.53,2)</f>
        <v>0</v>
      </c>
      <c r="H5" s="4">
        <f>ROUND(E5+G5,2)</f>
        <v>140.6</v>
      </c>
      <c r="I5" s="4">
        <v>20</v>
      </c>
      <c r="J5" s="4">
        <f>ROUND(H5*I5,0)</f>
        <v>2812</v>
      </c>
    </row>
    <row r="6" ht="26.4" customHeight="1" spans="1:10">
      <c r="A6" s="7" t="s">
        <v>20</v>
      </c>
      <c r="B6" s="8"/>
      <c r="C6" s="9">
        <v>3</v>
      </c>
      <c r="D6" s="10">
        <f>SUM(D3:D5)</f>
        <v>482</v>
      </c>
      <c r="E6" s="10">
        <f>SUM(E3:E5)</f>
        <v>457.9</v>
      </c>
      <c r="F6" s="10">
        <f>SUM(F3:F5)</f>
        <v>0</v>
      </c>
      <c r="G6" s="12">
        <f>SUM(G3:G5)</f>
        <v>0</v>
      </c>
      <c r="H6" s="12">
        <f>SUM(H3:H5)</f>
        <v>457.9</v>
      </c>
      <c r="I6" s="12"/>
      <c r="J6" s="12">
        <f>SUM(J3:J5)</f>
        <v>9158</v>
      </c>
    </row>
    <row r="7" ht="21" customHeight="1"/>
  </sheetData>
  <mergeCells count="2">
    <mergeCell ref="A1:J1"/>
    <mergeCell ref="A6:B6"/>
  </mergeCells>
  <pageMargins left="0.699305555555556" right="0.699305555555556" top="0.75" bottom="0.75" header="0.3" footer="0.3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A1:J8"/>
  <sheetViews>
    <sheetView zoomScale="87" zoomScaleNormal="87" workbookViewId="0">
      <selection activeCell="G2" sqref="G$1:G$1048576"/>
    </sheetView>
  </sheetViews>
  <sheetFormatPr defaultColWidth="9" defaultRowHeight="14" outlineLevelRow="7"/>
  <cols>
    <col min="1" max="1" width="5.81818181818182" style="24" customWidth="1"/>
    <col min="2" max="2" width="11.1818181818182" style="24" customWidth="1"/>
    <col min="3" max="3" width="11.0727272727273" style="24" customWidth="1"/>
    <col min="4" max="4" width="13.3636363636364" style="24" customWidth="1"/>
    <col min="5" max="5" width="15.6727272727273" style="24" customWidth="1"/>
    <col min="6" max="6" width="15.3454545454545" style="24" customWidth="1"/>
    <col min="7" max="7" width="20.5727272727273" style="24" customWidth="1"/>
    <col min="8" max="8" width="13.8909090909091" style="24" customWidth="1"/>
    <col min="9" max="9" width="10.4454545454545" style="24" customWidth="1"/>
    <col min="10" max="10" width="9.92727272727273" style="24" customWidth="1"/>
    <col min="11" max="16384" width="9" style="24"/>
  </cols>
  <sheetData>
    <row r="1" ht="35" customHeight="1" spans="1:10">
      <c r="A1" s="1" t="s">
        <v>15</v>
      </c>
      <c r="B1" s="1"/>
      <c r="C1" s="1"/>
      <c r="D1" s="1"/>
      <c r="E1" s="1"/>
      <c r="F1" s="1"/>
      <c r="G1" s="1"/>
      <c r="H1" s="1"/>
      <c r="I1" s="1"/>
      <c r="J1" s="1"/>
    </row>
    <row r="2" ht="40" customHeight="1" spans="1:10">
      <c r="A2" s="2" t="s">
        <v>1</v>
      </c>
      <c r="B2" s="2" t="s">
        <v>21</v>
      </c>
      <c r="C2" s="2" t="s">
        <v>22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8.2" customHeight="1" spans="1:10">
      <c r="A3" s="3">
        <v>1</v>
      </c>
      <c r="B3" s="3" t="s">
        <v>15</v>
      </c>
      <c r="C3" s="27" t="s">
        <v>42</v>
      </c>
      <c r="D3" s="27">
        <v>214</v>
      </c>
      <c r="E3" s="3">
        <f>ROUND(D3*0.95,2)</f>
        <v>203.3</v>
      </c>
      <c r="F3" s="27"/>
      <c r="G3" s="4">
        <f>ROUND(F3*1.53,2)</f>
        <v>0</v>
      </c>
      <c r="H3" s="4">
        <f>ROUND(E3+G3,2)</f>
        <v>203.3</v>
      </c>
      <c r="I3" s="4">
        <v>20</v>
      </c>
      <c r="J3" s="4">
        <f>ROUND(H3*I3,0)</f>
        <v>4066</v>
      </c>
    </row>
    <row r="4" ht="28.2" customHeight="1" spans="1:10">
      <c r="A4" s="3">
        <v>2</v>
      </c>
      <c r="B4" s="3" t="s">
        <v>15</v>
      </c>
      <c r="C4" s="28" t="s">
        <v>43</v>
      </c>
      <c r="D4" s="27">
        <v>195</v>
      </c>
      <c r="E4" s="3">
        <f>ROUND(D4*0.95,2)</f>
        <v>185.25</v>
      </c>
      <c r="F4" s="27"/>
      <c r="G4" s="4">
        <f>ROUND(F4*1.53,2)</f>
        <v>0</v>
      </c>
      <c r="H4" s="4">
        <f>ROUND(E4+G4,2)</f>
        <v>185.25</v>
      </c>
      <c r="I4" s="4">
        <v>20</v>
      </c>
      <c r="J4" s="4">
        <f>ROUND(H4*I4,0)</f>
        <v>3705</v>
      </c>
    </row>
    <row r="5" ht="28.2" customHeight="1" spans="1:10">
      <c r="A5" s="3">
        <v>3</v>
      </c>
      <c r="B5" s="3" t="s">
        <v>15</v>
      </c>
      <c r="C5" s="28" t="s">
        <v>44</v>
      </c>
      <c r="D5" s="27">
        <f>20*14.5-14*8.5</f>
        <v>171</v>
      </c>
      <c r="E5" s="3">
        <f>ROUND(D5*0.95,2)</f>
        <v>162.45</v>
      </c>
      <c r="F5" s="27"/>
      <c r="G5" s="4">
        <f>ROUND(F5*1.53,2)</f>
        <v>0</v>
      </c>
      <c r="H5" s="4">
        <f>ROUND(E5+G5,2)</f>
        <v>162.45</v>
      </c>
      <c r="I5" s="4">
        <v>20</v>
      </c>
      <c r="J5" s="4">
        <f>ROUND(H5*I5,0)</f>
        <v>3249</v>
      </c>
    </row>
    <row r="6" ht="28.2" customHeight="1" spans="1:10">
      <c r="A6" s="3">
        <v>4</v>
      </c>
      <c r="B6" s="3" t="s">
        <v>15</v>
      </c>
      <c r="C6" s="28" t="s">
        <v>43</v>
      </c>
      <c r="D6" s="27">
        <f>17*15-14*9</f>
        <v>129</v>
      </c>
      <c r="E6" s="3">
        <f>ROUND(D6*0.95,2)</f>
        <v>122.55</v>
      </c>
      <c r="F6" s="27"/>
      <c r="G6" s="4">
        <f>ROUND(F6*1.53,2)</f>
        <v>0</v>
      </c>
      <c r="H6" s="4">
        <f>ROUND(E6+G6,2)</f>
        <v>122.55</v>
      </c>
      <c r="I6" s="4">
        <v>20</v>
      </c>
      <c r="J6" s="4">
        <f>ROUND(H6*I6,0)</f>
        <v>2451</v>
      </c>
    </row>
    <row r="7" ht="28.2" customHeight="1" spans="1:10">
      <c r="A7" s="7" t="s">
        <v>20</v>
      </c>
      <c r="B7" s="8"/>
      <c r="C7" s="9">
        <v>4</v>
      </c>
      <c r="D7" s="10">
        <f>SUM(D3:D6)</f>
        <v>709</v>
      </c>
      <c r="E7" s="10">
        <f>SUM(E3:E6)</f>
        <v>673.55</v>
      </c>
      <c r="F7" s="10">
        <f>SUM(F3:F6)</f>
        <v>0</v>
      </c>
      <c r="G7" s="12">
        <f>SUM(G3:G6)</f>
        <v>0</v>
      </c>
      <c r="H7" s="12">
        <f>SUM(H3:H6)</f>
        <v>673.55</v>
      </c>
      <c r="I7" s="12"/>
      <c r="J7" s="12">
        <f>SUM(J3:J6)</f>
        <v>13471</v>
      </c>
    </row>
    <row r="8" ht="21" customHeight="1"/>
  </sheetData>
  <mergeCells count="2">
    <mergeCell ref="A1:J1"/>
    <mergeCell ref="A7:B7"/>
  </mergeCells>
  <pageMargins left="0.699305555555556" right="0.699305555555556" top="0.75" bottom="0.75" header="0.3" footer="0.3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A1:J8"/>
  <sheetViews>
    <sheetView zoomScale="86" zoomScaleNormal="86" workbookViewId="0">
      <selection activeCell="C2" sqref="C$1:C$1048576"/>
    </sheetView>
  </sheetViews>
  <sheetFormatPr defaultColWidth="9" defaultRowHeight="14" outlineLevelRow="7"/>
  <cols>
    <col min="1" max="1" width="7.60909090909091" style="25" customWidth="1"/>
    <col min="2" max="2" width="13" style="25" customWidth="1"/>
    <col min="3" max="3" width="10.9909090909091" style="24" customWidth="1"/>
    <col min="4" max="4" width="12.8909090909091" style="24" customWidth="1"/>
    <col min="5" max="5" width="16.2727272727273" style="24" customWidth="1"/>
    <col min="6" max="6" width="16.1636363636364" style="24" customWidth="1"/>
    <col min="7" max="7" width="19.8636363636364" style="25" customWidth="1"/>
    <col min="8" max="8" width="12.9" style="25" customWidth="1"/>
    <col min="9" max="9" width="11.5181818181818" style="24" customWidth="1"/>
    <col min="10" max="10" width="11.7272727272727" style="24" customWidth="1"/>
    <col min="11" max="16384" width="9" style="25"/>
  </cols>
  <sheetData>
    <row r="1" ht="25.5" spans="1:10">
      <c r="A1" s="1" t="s">
        <v>16</v>
      </c>
      <c r="B1" s="1"/>
      <c r="C1" s="1"/>
      <c r="D1" s="1"/>
      <c r="E1" s="1"/>
      <c r="F1" s="1"/>
      <c r="G1" s="1"/>
      <c r="H1" s="1"/>
      <c r="I1" s="1"/>
      <c r="J1" s="1"/>
    </row>
    <row r="2" s="24" customFormat="1" ht="65" customHeight="1" spans="1:10">
      <c r="A2" s="2" t="s">
        <v>1</v>
      </c>
      <c r="B2" s="2" t="s">
        <v>45</v>
      </c>
      <c r="C2" s="2" t="s">
        <v>22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5.8" customHeight="1" spans="1:10">
      <c r="A3" s="3">
        <v>1</v>
      </c>
      <c r="B3" s="3" t="s">
        <v>46</v>
      </c>
      <c r="C3" s="26" t="s">
        <v>47</v>
      </c>
      <c r="D3" s="26">
        <v>140</v>
      </c>
      <c r="E3" s="3">
        <f>ROUND(D3*0.95,2)</f>
        <v>133</v>
      </c>
      <c r="F3" s="26"/>
      <c r="G3" s="4">
        <f>ROUND(F3*1.53,2)</f>
        <v>0</v>
      </c>
      <c r="H3" s="4">
        <f>ROUND(E3+G3,2)</f>
        <v>133</v>
      </c>
      <c r="I3" s="4">
        <v>20</v>
      </c>
      <c r="J3" s="4">
        <f>ROUND(H3*I3,0)</f>
        <v>2660</v>
      </c>
    </row>
    <row r="4" ht="25.8" customHeight="1" spans="1:10">
      <c r="A4" s="3">
        <v>2</v>
      </c>
      <c r="B4" s="3" t="s">
        <v>46</v>
      </c>
      <c r="C4" s="26"/>
      <c r="D4" s="26"/>
      <c r="E4" s="3">
        <f>ROUND(D4*0.95,2)</f>
        <v>0</v>
      </c>
      <c r="F4" s="26"/>
      <c r="G4" s="4">
        <f>ROUND(F4*1.53,2)</f>
        <v>0</v>
      </c>
      <c r="H4" s="4">
        <f>ROUND(E4+G4,2)</f>
        <v>0</v>
      </c>
      <c r="I4" s="4">
        <v>20</v>
      </c>
      <c r="J4" s="4">
        <f>ROUND(H4*I4,0)</f>
        <v>0</v>
      </c>
    </row>
    <row r="5" ht="25.8" customHeight="1" spans="1:10">
      <c r="A5" s="3">
        <v>3</v>
      </c>
      <c r="B5" s="3" t="s">
        <v>46</v>
      </c>
      <c r="C5" s="26"/>
      <c r="D5" s="26"/>
      <c r="E5" s="3">
        <f>ROUND(D5*0.95,2)</f>
        <v>0</v>
      </c>
      <c r="F5" s="26"/>
      <c r="G5" s="4">
        <f>ROUND(F5*1.53,2)</f>
        <v>0</v>
      </c>
      <c r="H5" s="4">
        <f>ROUND(E5+G5,2)</f>
        <v>0</v>
      </c>
      <c r="I5" s="4">
        <v>20</v>
      </c>
      <c r="J5" s="4">
        <f>ROUND(H5*I5,0)</f>
        <v>0</v>
      </c>
    </row>
    <row r="6" ht="25.8" customHeight="1" spans="1:10">
      <c r="A6" s="3">
        <v>4</v>
      </c>
      <c r="B6" s="3" t="s">
        <v>46</v>
      </c>
      <c r="C6" s="26"/>
      <c r="D6" s="26"/>
      <c r="E6" s="3">
        <f>ROUND(D6*0.95,2)</f>
        <v>0</v>
      </c>
      <c r="F6" s="26"/>
      <c r="G6" s="4">
        <f>ROUND(F6*1.53,2)</f>
        <v>0</v>
      </c>
      <c r="H6" s="4">
        <f>ROUND(E6+G6,2)</f>
        <v>0</v>
      </c>
      <c r="I6" s="4">
        <v>20</v>
      </c>
      <c r="J6" s="4">
        <f>ROUND(H6*I6,0)</f>
        <v>0</v>
      </c>
    </row>
    <row r="7" ht="25.8" customHeight="1" spans="1:10">
      <c r="A7" s="7" t="s">
        <v>20</v>
      </c>
      <c r="B7" s="8"/>
      <c r="C7" s="9">
        <v>1</v>
      </c>
      <c r="D7" s="10">
        <f>SUM(D3:D6)</f>
        <v>140</v>
      </c>
      <c r="E7" s="10">
        <f>SUM(E3:E6)</f>
        <v>133</v>
      </c>
      <c r="F7" s="10">
        <f>SUM(F3:F6)</f>
        <v>0</v>
      </c>
      <c r="G7" s="12">
        <f>SUM(G3:G6)</f>
        <v>0</v>
      </c>
      <c r="H7" s="12">
        <f>SUM(H3:H6)</f>
        <v>133</v>
      </c>
      <c r="I7" s="12"/>
      <c r="J7" s="12">
        <f>SUM(J3:J6)</f>
        <v>2660</v>
      </c>
    </row>
    <row r="8" ht="21" customHeight="1"/>
  </sheetData>
  <mergeCells count="2">
    <mergeCell ref="A1:J1"/>
    <mergeCell ref="A7:B7"/>
  </mergeCells>
  <pageMargins left="0.699305555555556" right="0.699305555555556" top="0.75" bottom="0.75" header="0.3" footer="0.3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C00000"/>
  </sheetPr>
  <dimension ref="A1:J10"/>
  <sheetViews>
    <sheetView zoomScale="82" zoomScaleNormal="82" workbookViewId="0">
      <selection activeCell="C8" sqref="C8"/>
    </sheetView>
  </sheetViews>
  <sheetFormatPr defaultColWidth="12.7818181818182" defaultRowHeight="14"/>
  <cols>
    <col min="1" max="1" width="6.21818181818182" style="13" customWidth="1"/>
    <col min="2" max="2" width="8.27272727272727" style="13" customWidth="1"/>
    <col min="3" max="3" width="9.54545454545454" style="13" customWidth="1"/>
    <col min="4" max="4" width="12.5272727272727" style="13" customWidth="1"/>
    <col min="5" max="5" width="15.1818181818182" style="13" customWidth="1"/>
    <col min="6" max="6" width="15.2909090909091" style="13" customWidth="1"/>
    <col min="7" max="7" width="19.7181818181818" style="13" customWidth="1"/>
    <col min="8" max="8" width="13.7454545454545" style="13" customWidth="1"/>
    <col min="9" max="9" width="11.7545454545455" style="13" customWidth="1"/>
    <col min="10" max="10" width="12.1909090909091" style="13" customWidth="1"/>
    <col min="11" max="16384" width="12.7818181818182" style="13"/>
  </cols>
  <sheetData>
    <row r="1" ht="40" customHeight="1" spans="1:10">
      <c r="A1" s="14" t="s">
        <v>17</v>
      </c>
      <c r="B1" s="14"/>
      <c r="C1" s="14"/>
      <c r="D1" s="14"/>
      <c r="E1" s="14"/>
      <c r="F1" s="14"/>
      <c r="G1" s="14"/>
      <c r="H1" s="14"/>
      <c r="I1" s="14"/>
      <c r="J1" s="14"/>
    </row>
    <row r="2" ht="49" customHeight="1" spans="1:10">
      <c r="A2" s="15" t="s">
        <v>1</v>
      </c>
      <c r="B2" s="15" t="s">
        <v>21</v>
      </c>
      <c r="C2" s="15" t="s">
        <v>22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8</v>
      </c>
      <c r="I2" s="15" t="s">
        <v>9</v>
      </c>
      <c r="J2" s="15" t="s">
        <v>10</v>
      </c>
    </row>
    <row r="3" ht="22.2" customHeight="1" spans="1:10">
      <c r="A3" s="16">
        <v>1</v>
      </c>
      <c r="B3" s="16" t="s">
        <v>17</v>
      </c>
      <c r="C3" s="17" t="s">
        <v>48</v>
      </c>
      <c r="D3" s="17">
        <v>42</v>
      </c>
      <c r="E3" s="16">
        <f>ROUND(D3*0.95,2)</f>
        <v>39.9</v>
      </c>
      <c r="F3" s="18"/>
      <c r="G3" s="5">
        <f>ROUND(F3*1.53,2)</f>
        <v>0</v>
      </c>
      <c r="H3" s="5">
        <f>ROUND(E3+G3,2)</f>
        <v>39.9</v>
      </c>
      <c r="I3" s="5">
        <v>20</v>
      </c>
      <c r="J3" s="5">
        <f>ROUND(H3*I3,0)</f>
        <v>798</v>
      </c>
    </row>
    <row r="4" ht="22.2" customHeight="1" spans="1:10">
      <c r="A4" s="16">
        <v>2</v>
      </c>
      <c r="B4" s="16" t="s">
        <v>17</v>
      </c>
      <c r="C4" s="17"/>
      <c r="D4" s="17"/>
      <c r="E4" s="16">
        <f>ROUND(D4*0.95,2)</f>
        <v>0</v>
      </c>
      <c r="F4" s="18"/>
      <c r="G4" s="5">
        <f>ROUND(F4*1.53,2)</f>
        <v>0</v>
      </c>
      <c r="H4" s="5">
        <f>ROUND(E4+G4,2)</f>
        <v>0</v>
      </c>
      <c r="I4" s="5">
        <v>20</v>
      </c>
      <c r="J4" s="5">
        <f>ROUND(H4*I4,0)</f>
        <v>0</v>
      </c>
    </row>
    <row r="5" ht="22.2" customHeight="1" spans="1:10">
      <c r="A5" s="16">
        <v>3</v>
      </c>
      <c r="B5" s="16" t="s">
        <v>17</v>
      </c>
      <c r="C5" s="17"/>
      <c r="D5" s="17"/>
      <c r="E5" s="16">
        <f>ROUND(D5*0.95,2)</f>
        <v>0</v>
      </c>
      <c r="F5" s="18"/>
      <c r="G5" s="5">
        <f>ROUND(F5*1.53,2)</f>
        <v>0</v>
      </c>
      <c r="H5" s="5">
        <f>ROUND(E5+G5,2)</f>
        <v>0</v>
      </c>
      <c r="I5" s="5">
        <v>20</v>
      </c>
      <c r="J5" s="5">
        <f>ROUND(H5*I5,0)</f>
        <v>0</v>
      </c>
    </row>
    <row r="6" ht="22.2" customHeight="1" spans="1:10">
      <c r="A6" s="19" t="s">
        <v>20</v>
      </c>
      <c r="B6" s="20"/>
      <c r="C6" s="21">
        <v>1</v>
      </c>
      <c r="D6" s="22">
        <f>SUM(D3:D5)</f>
        <v>42</v>
      </c>
      <c r="E6" s="22">
        <f>SUM(E3:E5)</f>
        <v>39.9</v>
      </c>
      <c r="F6" s="22">
        <f>SUM(F3:F5)</f>
        <v>0</v>
      </c>
      <c r="G6" s="23">
        <f>SUM(G3:G5)</f>
        <v>0</v>
      </c>
      <c r="H6" s="23">
        <f>SUM(H3:H5)</f>
        <v>39.9</v>
      </c>
      <c r="I6" s="23"/>
      <c r="J6" s="23">
        <f>SUM(J3:J5)</f>
        <v>798</v>
      </c>
    </row>
    <row r="7" ht="21" customHeight="1"/>
    <row r="8" ht="21" customHeight="1"/>
    <row r="9" ht="21" customHeight="1"/>
    <row r="10" ht="21" customHeight="1"/>
  </sheetData>
  <mergeCells count="2">
    <mergeCell ref="A1:J1"/>
    <mergeCell ref="A6:B6"/>
  </mergeCells>
  <pageMargins left="0.699305555555556" right="0.699305555555556" top="0.75" bottom="0.75" header="0.3" footer="0.3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workbookViewId="0">
      <selection activeCell="G16" sqref="G16"/>
    </sheetView>
  </sheetViews>
  <sheetFormatPr defaultColWidth="8.72727272727273" defaultRowHeight="14" outlineLevelRow="7"/>
  <cols>
    <col min="2" max="2" width="11.1818181818182" customWidth="1"/>
    <col min="3" max="3" width="10.4545454545455" customWidth="1"/>
    <col min="4" max="4" width="13" customWidth="1"/>
    <col min="5" max="5" width="15.2727272727273" customWidth="1"/>
    <col min="6" max="6" width="15.5454545454545" customWidth="1"/>
    <col min="7" max="7" width="19.1818181818182" customWidth="1"/>
    <col min="8" max="8" width="12.9090909090909" customWidth="1"/>
    <col min="9" max="9" width="10.7272727272727" customWidth="1"/>
    <col min="10" max="10" width="9.72727272727273" customWidth="1"/>
  </cols>
  <sheetData>
    <row r="1" ht="43" customHeight="1" spans="1:10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</row>
    <row r="2" ht="37" customHeight="1" spans="1:10">
      <c r="A2" s="2" t="s">
        <v>1</v>
      </c>
      <c r="B2" s="2" t="s">
        <v>21</v>
      </c>
      <c r="C2" s="2" t="s">
        <v>22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15" spans="1:10">
      <c r="A3" s="3">
        <v>1</v>
      </c>
      <c r="B3" s="3" t="s">
        <v>18</v>
      </c>
      <c r="C3" s="4" t="s">
        <v>49</v>
      </c>
      <c r="D3" s="4">
        <f>16*4</f>
        <v>64</v>
      </c>
      <c r="E3" s="3">
        <f t="shared" ref="E3:E7" si="0">ROUND(D3*0.95,2)</f>
        <v>60.8</v>
      </c>
      <c r="F3" s="4"/>
      <c r="G3" s="4"/>
      <c r="H3" s="4">
        <f t="shared" ref="H3:H7" si="1">ROUND(E3+G3,2)</f>
        <v>60.8</v>
      </c>
      <c r="I3" s="4">
        <v>20</v>
      </c>
      <c r="J3" s="4">
        <f t="shared" ref="J3:J7" si="2">ROUND(H3*I3,0)</f>
        <v>1216</v>
      </c>
    </row>
    <row r="4" ht="15" spans="1:10">
      <c r="A4" s="3">
        <v>2</v>
      </c>
      <c r="B4" s="3" t="s">
        <v>18</v>
      </c>
      <c r="C4" s="4" t="s">
        <v>50</v>
      </c>
      <c r="D4" s="4">
        <f>15*4+11*4</f>
        <v>104</v>
      </c>
      <c r="E4" s="3">
        <f t="shared" si="0"/>
        <v>98.8</v>
      </c>
      <c r="F4" s="4">
        <f>22*2.5*0.24</f>
        <v>13.2</v>
      </c>
      <c r="G4" s="4">
        <f>F4*1.53</f>
        <v>20.196</v>
      </c>
      <c r="H4" s="4">
        <f t="shared" si="1"/>
        <v>119</v>
      </c>
      <c r="I4" s="4">
        <v>20</v>
      </c>
      <c r="J4" s="4">
        <f t="shared" si="2"/>
        <v>2380</v>
      </c>
    </row>
    <row r="5" ht="15" spans="1:10">
      <c r="A5" s="3">
        <v>3</v>
      </c>
      <c r="B5" s="3" t="s">
        <v>18</v>
      </c>
      <c r="C5" s="5" t="s">
        <v>51</v>
      </c>
      <c r="D5" s="4">
        <f>15*4+14*3</f>
        <v>102</v>
      </c>
      <c r="E5" s="3">
        <f t="shared" si="0"/>
        <v>96.9</v>
      </c>
      <c r="F5" s="4">
        <f>26*2.5*0.24</f>
        <v>15.6</v>
      </c>
      <c r="G5" s="4">
        <f>F5*1.53</f>
        <v>23.868</v>
      </c>
      <c r="H5" s="4">
        <f t="shared" si="1"/>
        <v>120.77</v>
      </c>
      <c r="I5" s="4">
        <v>20</v>
      </c>
      <c r="J5" s="4">
        <f t="shared" si="2"/>
        <v>2415</v>
      </c>
    </row>
    <row r="6" ht="15" spans="1:10">
      <c r="A6" s="3">
        <v>4</v>
      </c>
      <c r="B6" s="3" t="s">
        <v>18</v>
      </c>
      <c r="C6" s="4" t="s">
        <v>52</v>
      </c>
      <c r="D6" s="4">
        <f>15*4+11*3</f>
        <v>93</v>
      </c>
      <c r="E6" s="3">
        <f t="shared" si="0"/>
        <v>88.35</v>
      </c>
      <c r="F6" s="4">
        <f>23*2.5*0.24</f>
        <v>13.8</v>
      </c>
      <c r="G6" s="4">
        <f>F6*1.53</f>
        <v>21.114</v>
      </c>
      <c r="H6" s="4">
        <f t="shared" si="1"/>
        <v>109.46</v>
      </c>
      <c r="I6" s="4">
        <v>20</v>
      </c>
      <c r="J6" s="4">
        <f t="shared" si="2"/>
        <v>2189</v>
      </c>
    </row>
    <row r="7" ht="15" spans="1:10">
      <c r="A7" s="3">
        <v>5</v>
      </c>
      <c r="B7" s="3" t="s">
        <v>18</v>
      </c>
      <c r="C7" s="4" t="s">
        <v>53</v>
      </c>
      <c r="D7" s="4">
        <v>60</v>
      </c>
      <c r="E7" s="3">
        <f t="shared" si="0"/>
        <v>57</v>
      </c>
      <c r="F7" s="4">
        <f>29*2.5*0.24</f>
        <v>17.4</v>
      </c>
      <c r="G7" s="4">
        <f>F7*1.53</f>
        <v>26.622</v>
      </c>
      <c r="H7" s="4">
        <f t="shared" si="1"/>
        <v>83.62</v>
      </c>
      <c r="I7" s="4">
        <v>20</v>
      </c>
      <c r="J7" s="4">
        <f t="shared" si="2"/>
        <v>1672</v>
      </c>
    </row>
    <row r="8" ht="15" spans="1:10">
      <c r="A8" s="7" t="s">
        <v>20</v>
      </c>
      <c r="B8" s="8"/>
      <c r="C8" s="9">
        <v>5</v>
      </c>
      <c r="D8" s="10">
        <f t="shared" ref="D8:H8" si="3">SUM(D3:D7)</f>
        <v>423</v>
      </c>
      <c r="E8" s="10">
        <f t="shared" si="3"/>
        <v>401.85</v>
      </c>
      <c r="F8" s="10">
        <f t="shared" si="3"/>
        <v>60</v>
      </c>
      <c r="G8" s="10">
        <f t="shared" si="3"/>
        <v>91.8</v>
      </c>
      <c r="H8" s="12">
        <f t="shared" si="3"/>
        <v>493.65</v>
      </c>
      <c r="I8" s="12"/>
      <c r="J8" s="12">
        <f>SUM(J3:J7)</f>
        <v>9872</v>
      </c>
    </row>
  </sheetData>
  <mergeCells count="2">
    <mergeCell ref="A1:J1"/>
    <mergeCell ref="A8:B8"/>
  </mergeCells>
  <pageMargins left="0.75" right="0.75" top="1" bottom="1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workbookViewId="0">
      <selection activeCell="J16" sqref="J16"/>
    </sheetView>
  </sheetViews>
  <sheetFormatPr defaultColWidth="8.72727272727273" defaultRowHeight="14" outlineLevelRow="7"/>
  <cols>
    <col min="2" max="2" width="11.1818181818182" customWidth="1"/>
    <col min="3" max="3" width="10.2727272727273" customWidth="1"/>
    <col min="4" max="4" width="12.7272727272727" customWidth="1"/>
    <col min="5" max="5" width="14.8181818181818" customWidth="1"/>
    <col min="6" max="6" width="14.5454545454545" customWidth="1"/>
    <col min="7" max="7" width="19" customWidth="1"/>
    <col min="8" max="8" width="12.5454545454545" customWidth="1"/>
    <col min="9" max="9" width="10.0909090909091" customWidth="1"/>
    <col min="10" max="10" width="10.3636363636364" customWidth="1"/>
  </cols>
  <sheetData>
    <row r="1" ht="36" customHeight="1" spans="1:10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</row>
    <row r="2" ht="44" customHeight="1" spans="1:10">
      <c r="A2" s="2" t="s">
        <v>1</v>
      </c>
      <c r="B2" s="2" t="s">
        <v>21</v>
      </c>
      <c r="C2" s="2" t="s">
        <v>22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15" spans="1:10">
      <c r="A3" s="3">
        <v>1</v>
      </c>
      <c r="B3" s="3" t="s">
        <v>19</v>
      </c>
      <c r="C3" s="4" t="s">
        <v>54</v>
      </c>
      <c r="D3" s="4">
        <v>130</v>
      </c>
      <c r="E3" s="3">
        <f t="shared" ref="E3:E7" si="0">ROUND(D3*0.95,2)</f>
        <v>123.5</v>
      </c>
      <c r="F3" s="4"/>
      <c r="G3" s="4"/>
      <c r="H3" s="4">
        <f t="shared" ref="H3:H7" si="1">ROUND(E3+G3,2)</f>
        <v>123.5</v>
      </c>
      <c r="I3" s="4">
        <v>20</v>
      </c>
      <c r="J3" s="4">
        <f t="shared" ref="J3:J7" si="2">ROUND(H3*I3,0)</f>
        <v>2470</v>
      </c>
    </row>
    <row r="4" ht="15" spans="1:10">
      <c r="A4" s="3">
        <v>2</v>
      </c>
      <c r="B4" s="3" t="s">
        <v>19</v>
      </c>
      <c r="C4" s="4"/>
      <c r="D4" s="4"/>
      <c r="E4" s="3">
        <f t="shared" si="0"/>
        <v>0</v>
      </c>
      <c r="F4" s="4"/>
      <c r="G4" s="4"/>
      <c r="H4" s="4">
        <f t="shared" si="1"/>
        <v>0</v>
      </c>
      <c r="I4" s="4">
        <v>20</v>
      </c>
      <c r="J4" s="4">
        <f t="shared" si="2"/>
        <v>0</v>
      </c>
    </row>
    <row r="5" ht="15" spans="1:10">
      <c r="A5" s="3">
        <v>3</v>
      </c>
      <c r="B5" s="3" t="s">
        <v>19</v>
      </c>
      <c r="C5" s="5"/>
      <c r="D5" s="4"/>
      <c r="E5" s="3">
        <f t="shared" si="0"/>
        <v>0</v>
      </c>
      <c r="F5" s="4"/>
      <c r="G5" s="4"/>
      <c r="H5" s="4">
        <f t="shared" si="1"/>
        <v>0</v>
      </c>
      <c r="I5" s="4">
        <v>20</v>
      </c>
      <c r="J5" s="4">
        <f t="shared" si="2"/>
        <v>0</v>
      </c>
    </row>
    <row r="6" ht="15" spans="1:10">
      <c r="A6" s="3">
        <v>4</v>
      </c>
      <c r="B6" s="3" t="s">
        <v>19</v>
      </c>
      <c r="C6" s="4"/>
      <c r="D6" s="4"/>
      <c r="E6" s="3">
        <f t="shared" si="0"/>
        <v>0</v>
      </c>
      <c r="F6" s="4"/>
      <c r="G6" s="4">
        <f>F6*1.53</f>
        <v>0</v>
      </c>
      <c r="H6" s="4">
        <f t="shared" si="1"/>
        <v>0</v>
      </c>
      <c r="I6" s="4">
        <v>20</v>
      </c>
      <c r="J6" s="4">
        <f t="shared" si="2"/>
        <v>0</v>
      </c>
    </row>
    <row r="7" ht="15" spans="1:10">
      <c r="A7" s="3">
        <v>5</v>
      </c>
      <c r="B7" s="3" t="s">
        <v>19</v>
      </c>
      <c r="C7" s="4"/>
      <c r="D7" s="4"/>
      <c r="E7" s="3">
        <f t="shared" si="0"/>
        <v>0</v>
      </c>
      <c r="F7" s="4"/>
      <c r="G7" s="4">
        <f>F7*1.53</f>
        <v>0</v>
      </c>
      <c r="H7" s="4">
        <f t="shared" si="1"/>
        <v>0</v>
      </c>
      <c r="I7" s="4">
        <v>20</v>
      </c>
      <c r="J7" s="4">
        <f t="shared" si="2"/>
        <v>0</v>
      </c>
    </row>
    <row r="8" ht="15" spans="1:10">
      <c r="A8" s="7" t="s">
        <v>20</v>
      </c>
      <c r="B8" s="8"/>
      <c r="C8" s="9">
        <v>1</v>
      </c>
      <c r="D8" s="10">
        <f t="shared" ref="D8:H8" si="3">SUM(D3:D7)</f>
        <v>130</v>
      </c>
      <c r="E8" s="10">
        <f t="shared" si="3"/>
        <v>123.5</v>
      </c>
      <c r="F8" s="10">
        <f t="shared" si="3"/>
        <v>0</v>
      </c>
      <c r="G8" s="10">
        <f t="shared" si="3"/>
        <v>0</v>
      </c>
      <c r="H8" s="12">
        <f t="shared" si="3"/>
        <v>123.5</v>
      </c>
      <c r="I8" s="12"/>
      <c r="J8" s="12">
        <f>SUM(J3:J7)</f>
        <v>2470</v>
      </c>
    </row>
  </sheetData>
  <mergeCells count="2">
    <mergeCell ref="A1:J1"/>
    <mergeCell ref="A8:B8"/>
  </mergeCells>
  <pageMargins left="0.75" right="0.75" top="1" bottom="1" header="0.5" footer="0.5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workbookViewId="0">
      <selection activeCell="F15" sqref="F15"/>
    </sheetView>
  </sheetViews>
  <sheetFormatPr defaultColWidth="8.72727272727273" defaultRowHeight="14"/>
  <cols>
    <col min="2" max="3" width="10.2727272727273" customWidth="1"/>
    <col min="4" max="4" width="12.3636363636364" customWidth="1"/>
    <col min="5" max="5" width="15.0909090909091" customWidth="1"/>
    <col min="6" max="6" width="14.9090909090909" customWidth="1"/>
    <col min="7" max="7" width="19.1818181818182" customWidth="1"/>
    <col min="8" max="8" width="12.4545454545455" customWidth="1"/>
    <col min="9" max="9" width="9.90909090909091" customWidth="1"/>
    <col min="10" max="10" width="11.0909090909091" customWidth="1"/>
  </cols>
  <sheetData>
    <row r="1" ht="37" customHeight="1" spans="1:10">
      <c r="A1" s="1" t="s">
        <v>55</v>
      </c>
      <c r="B1" s="1"/>
      <c r="C1" s="1"/>
      <c r="D1" s="1"/>
      <c r="E1" s="1"/>
      <c r="F1" s="1"/>
      <c r="G1" s="1"/>
      <c r="H1" s="1"/>
      <c r="I1" s="1"/>
      <c r="J1" s="1"/>
    </row>
    <row r="2" ht="42" customHeight="1" spans="1:10">
      <c r="A2" s="2" t="s">
        <v>1</v>
      </c>
      <c r="B2" s="2" t="s">
        <v>21</v>
      </c>
      <c r="C2" s="2" t="s">
        <v>22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15" spans="1:10">
      <c r="A3" s="3">
        <v>1</v>
      </c>
      <c r="B3" s="3" t="s">
        <v>55</v>
      </c>
      <c r="C3" s="4" t="s">
        <v>56</v>
      </c>
      <c r="D3" s="4">
        <f>16*8.1</f>
        <v>129.6</v>
      </c>
      <c r="E3" s="3">
        <f t="shared" ref="E3:E11" si="0">ROUND(D3*0.95,2)</f>
        <v>123.12</v>
      </c>
      <c r="F3" s="4"/>
      <c r="G3" s="4"/>
      <c r="H3" s="4">
        <f t="shared" ref="H3:H11" si="1">ROUND(E3+G3,2)</f>
        <v>123.12</v>
      </c>
      <c r="I3" s="4">
        <v>20</v>
      </c>
      <c r="J3" s="4">
        <f t="shared" ref="J3:J11" si="2">ROUND(H3*I3,0)</f>
        <v>2462</v>
      </c>
    </row>
    <row r="4" ht="15" spans="1:10">
      <c r="A4" s="3">
        <v>2</v>
      </c>
      <c r="B4" s="3" t="s">
        <v>55</v>
      </c>
      <c r="C4" s="4" t="s">
        <v>57</v>
      </c>
      <c r="D4" s="4">
        <f>20*10.1</f>
        <v>202</v>
      </c>
      <c r="E4" s="3">
        <f t="shared" si="0"/>
        <v>191.9</v>
      </c>
      <c r="F4" s="4"/>
      <c r="G4" s="4"/>
      <c r="H4" s="4">
        <f t="shared" si="1"/>
        <v>191.9</v>
      </c>
      <c r="I4" s="4">
        <v>20</v>
      </c>
      <c r="J4" s="4">
        <f t="shared" si="2"/>
        <v>3838</v>
      </c>
    </row>
    <row r="5" ht="15" spans="1:10">
      <c r="A5" s="3">
        <v>3</v>
      </c>
      <c r="B5" s="3" t="s">
        <v>55</v>
      </c>
      <c r="C5" s="5" t="s">
        <v>58</v>
      </c>
      <c r="D5" s="4">
        <f>16*8.8</f>
        <v>140.8</v>
      </c>
      <c r="E5" s="3">
        <f t="shared" si="0"/>
        <v>133.76</v>
      </c>
      <c r="F5" s="4"/>
      <c r="G5" s="4"/>
      <c r="H5" s="4">
        <f t="shared" si="1"/>
        <v>133.76</v>
      </c>
      <c r="I5" s="4">
        <v>20</v>
      </c>
      <c r="J5" s="4">
        <f t="shared" si="2"/>
        <v>2675</v>
      </c>
    </row>
    <row r="6" ht="15" spans="1:10">
      <c r="A6" s="3">
        <v>4</v>
      </c>
      <c r="B6" s="3" t="s">
        <v>55</v>
      </c>
      <c r="C6" s="4" t="s">
        <v>59</v>
      </c>
      <c r="D6" s="4">
        <f>16*6.6</f>
        <v>105.6</v>
      </c>
      <c r="E6" s="3">
        <f t="shared" si="0"/>
        <v>100.32</v>
      </c>
      <c r="F6" s="4"/>
      <c r="G6" s="4">
        <f>F6*1.53</f>
        <v>0</v>
      </c>
      <c r="H6" s="4">
        <f t="shared" si="1"/>
        <v>100.32</v>
      </c>
      <c r="I6" s="4">
        <v>20</v>
      </c>
      <c r="J6" s="4">
        <f t="shared" si="2"/>
        <v>2006</v>
      </c>
    </row>
    <row r="7" ht="15" spans="1:10">
      <c r="A7" s="3">
        <v>5</v>
      </c>
      <c r="B7" s="3" t="s">
        <v>55</v>
      </c>
      <c r="C7" s="4" t="s">
        <v>60</v>
      </c>
      <c r="D7" s="4">
        <f>15*7.6</f>
        <v>114</v>
      </c>
      <c r="E7" s="3">
        <f t="shared" si="0"/>
        <v>108.3</v>
      </c>
      <c r="F7" s="4"/>
      <c r="G7" s="4">
        <f>F7*1.53</f>
        <v>0</v>
      </c>
      <c r="H7" s="4">
        <f t="shared" si="1"/>
        <v>108.3</v>
      </c>
      <c r="I7" s="4">
        <v>20</v>
      </c>
      <c r="J7" s="4">
        <f t="shared" si="2"/>
        <v>2166</v>
      </c>
    </row>
    <row r="8" ht="15" spans="1:10">
      <c r="A8" s="3">
        <v>6</v>
      </c>
      <c r="B8" s="3" t="s">
        <v>55</v>
      </c>
      <c r="C8" s="6" t="s">
        <v>61</v>
      </c>
      <c r="D8" s="4">
        <f>12*6.2</f>
        <v>74.4</v>
      </c>
      <c r="E8" s="3">
        <f t="shared" si="0"/>
        <v>70.68</v>
      </c>
      <c r="F8" s="4"/>
      <c r="G8" s="4"/>
      <c r="H8" s="4">
        <f t="shared" si="1"/>
        <v>70.68</v>
      </c>
      <c r="I8" s="4">
        <v>20</v>
      </c>
      <c r="J8" s="4">
        <f t="shared" si="2"/>
        <v>1414</v>
      </c>
    </row>
    <row r="9" ht="15" spans="1:10">
      <c r="A9" s="3">
        <v>7</v>
      </c>
      <c r="B9" s="3" t="s">
        <v>55</v>
      </c>
      <c r="C9" s="6" t="s">
        <v>62</v>
      </c>
      <c r="D9" s="4">
        <f>18*7.2</f>
        <v>129.6</v>
      </c>
      <c r="E9" s="3">
        <f t="shared" si="0"/>
        <v>123.12</v>
      </c>
      <c r="F9" s="4"/>
      <c r="G9" s="4"/>
      <c r="H9" s="4">
        <f t="shared" si="1"/>
        <v>123.12</v>
      </c>
      <c r="I9" s="4">
        <v>20</v>
      </c>
      <c r="J9" s="4">
        <f t="shared" si="2"/>
        <v>2462</v>
      </c>
    </row>
    <row r="10" ht="15" spans="1:10">
      <c r="A10" s="3">
        <v>8</v>
      </c>
      <c r="B10" s="3" t="s">
        <v>55</v>
      </c>
      <c r="C10" s="6" t="s">
        <v>63</v>
      </c>
      <c r="D10" s="4">
        <f>12*6</f>
        <v>72</v>
      </c>
      <c r="E10" s="3">
        <f t="shared" si="0"/>
        <v>68.4</v>
      </c>
      <c r="F10" s="4"/>
      <c r="G10" s="4"/>
      <c r="H10" s="4">
        <f t="shared" si="1"/>
        <v>68.4</v>
      </c>
      <c r="I10" s="4">
        <v>20</v>
      </c>
      <c r="J10" s="4">
        <f t="shared" si="2"/>
        <v>1368</v>
      </c>
    </row>
    <row r="11" ht="15" spans="1:10">
      <c r="A11" s="3">
        <v>9</v>
      </c>
      <c r="B11" s="3" t="s">
        <v>55</v>
      </c>
      <c r="C11" s="6" t="s">
        <v>64</v>
      </c>
      <c r="D11" s="4">
        <f>12*6</f>
        <v>72</v>
      </c>
      <c r="E11" s="3">
        <f t="shared" si="0"/>
        <v>68.4</v>
      </c>
      <c r="F11" s="4"/>
      <c r="G11" s="4"/>
      <c r="H11" s="4">
        <f t="shared" si="1"/>
        <v>68.4</v>
      </c>
      <c r="I11" s="4">
        <v>20</v>
      </c>
      <c r="J11" s="4">
        <f t="shared" si="2"/>
        <v>1368</v>
      </c>
    </row>
    <row r="12" ht="15" spans="1:10">
      <c r="A12" s="7" t="s">
        <v>20</v>
      </c>
      <c r="B12" s="8"/>
      <c r="C12" s="9">
        <v>9</v>
      </c>
      <c r="D12" s="10">
        <f>SUM(D3:D11)</f>
        <v>1040</v>
      </c>
      <c r="E12" s="10">
        <f>SUM(E3:E11)</f>
        <v>988</v>
      </c>
      <c r="F12" s="10">
        <f t="shared" ref="D12:H12" si="3">SUM(F3:F7)</f>
        <v>0</v>
      </c>
      <c r="G12" s="10">
        <f t="shared" si="3"/>
        <v>0</v>
      </c>
      <c r="H12" s="11">
        <f>SUM(H3:H11,0)</f>
        <v>988</v>
      </c>
      <c r="I12" s="12"/>
      <c r="J12" s="12">
        <f>SUM(J3:J11)</f>
        <v>19759</v>
      </c>
    </row>
  </sheetData>
  <mergeCells count="2">
    <mergeCell ref="A1:J1"/>
    <mergeCell ref="A12:B1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合计</vt:lpstr>
      <vt:lpstr>孤山</vt:lpstr>
      <vt:lpstr>郭万井</vt:lpstr>
      <vt:lpstr>北壕村</vt:lpstr>
      <vt:lpstr>嘉应寺</vt:lpstr>
      <vt:lpstr>永丰村</vt:lpstr>
      <vt:lpstr>九龙关</vt:lpstr>
      <vt:lpstr>回车村</vt:lpstr>
      <vt:lpstr>冯家村</vt:lpstr>
      <vt:lpstr>武家村</vt:lpstr>
      <vt:lpstr>赵堡村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WPS_1679965692</cp:lastModifiedBy>
  <dcterms:created xsi:type="dcterms:W3CDTF">2006-09-16T00:00:00Z</dcterms:created>
  <cp:lastPrinted>2021-10-22T00:41:00Z</cp:lastPrinted>
  <dcterms:modified xsi:type="dcterms:W3CDTF">2026-10-25T02:23:29Z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889D9B936644410195D9474B7DE93450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